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H:\Polaris MAT\Polaris Budget 21-22\"/>
    </mc:Choice>
  </mc:AlternateContent>
  <xr:revisionPtr revIDLastSave="0" documentId="13_ncr:1_{A56DB592-E661-45CE-B74F-1EBAC67D86F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come &amp; Expenditure" sheetId="1" r:id="rId1"/>
    <sheet name="RHS before adj" sheetId="2" r:id="rId2"/>
  </sheets>
  <externalReferences>
    <externalReference r:id="rId3"/>
    <externalReference r:id="rId4"/>
    <externalReference r:id="rId5"/>
  </externalReferences>
  <definedNames>
    <definedName name="_xlnm.Print_Titles" localSheetId="0">'Income &amp; Expenditure'!$4:$4</definedName>
    <definedName name="_xlnm.Print_Titles" localSheetId="1">'RHS before adj'!$4:$4</definedName>
  </definedNames>
  <calcPr calcId="191029"/>
  <webPublishing codePage="0"/>
</workbook>
</file>

<file path=xl/calcChain.xml><?xml version="1.0" encoding="utf-8"?>
<calcChain xmlns="http://schemas.openxmlformats.org/spreadsheetml/2006/main">
  <c r="B12" i="1" l="1"/>
  <c r="H35" i="1"/>
  <c r="D36" i="1" l="1"/>
  <c r="H38" i="1" l="1"/>
  <c r="D21" i="1" l="1"/>
  <c r="B21" i="1"/>
  <c r="C24" i="1"/>
  <c r="C32" i="1" s="1"/>
  <c r="C12" i="1"/>
  <c r="C14" i="1" s="1"/>
  <c r="C34" i="1" l="1"/>
  <c r="C36" i="1" s="1"/>
  <c r="E31" i="1"/>
  <c r="F31" i="1"/>
  <c r="G31" i="1"/>
  <c r="H25" i="1" l="1"/>
  <c r="D31" i="1"/>
  <c r="H31" i="1" s="1"/>
  <c r="B24" i="1"/>
  <c r="B32" i="1" s="1"/>
  <c r="D19" i="1"/>
  <c r="D18" i="1"/>
  <c r="F31" i="2" l="1"/>
  <c r="E31" i="2"/>
  <c r="F13" i="2"/>
  <c r="G13" i="2"/>
  <c r="B13" i="1"/>
  <c r="E12" i="1" l="1"/>
  <c r="E14" i="1" s="1"/>
  <c r="D12" i="1"/>
  <c r="D14" i="1" s="1"/>
  <c r="D31" i="2"/>
  <c r="I30" i="2"/>
  <c r="H30" i="2"/>
  <c r="G30" i="2"/>
  <c r="I29" i="2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J24" i="2"/>
  <c r="F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H23" i="2" s="1"/>
  <c r="H31" i="2" s="1"/>
  <c r="G17" i="2"/>
  <c r="F33" i="2"/>
  <c r="D13" i="2"/>
  <c r="I11" i="2"/>
  <c r="H11" i="2"/>
  <c r="I10" i="2"/>
  <c r="H10" i="2"/>
  <c r="J9" i="2"/>
  <c r="I8" i="2"/>
  <c r="H8" i="2"/>
  <c r="I7" i="2"/>
  <c r="H7" i="2"/>
  <c r="I6" i="2"/>
  <c r="H6" i="2"/>
  <c r="I5" i="2"/>
  <c r="H5" i="2"/>
  <c r="G30" i="1"/>
  <c r="G29" i="1"/>
  <c r="G28" i="1"/>
  <c r="G27" i="1"/>
  <c r="G26" i="1"/>
  <c r="G23" i="1"/>
  <c r="G22" i="1"/>
  <c r="G21" i="1"/>
  <c r="G20" i="1"/>
  <c r="G19" i="1"/>
  <c r="G18" i="1"/>
  <c r="H9" i="1"/>
  <c r="G11" i="1"/>
  <c r="G10" i="1"/>
  <c r="G8" i="1"/>
  <c r="G7" i="1"/>
  <c r="G6" i="1"/>
  <c r="G5" i="1"/>
  <c r="E12" i="2" l="1"/>
  <c r="G23" i="2"/>
  <c r="G31" i="2" s="1"/>
  <c r="G33" i="2" s="1"/>
  <c r="J21" i="2"/>
  <c r="J26" i="2"/>
  <c r="J30" i="2"/>
  <c r="J11" i="2"/>
  <c r="J29" i="2"/>
  <c r="J5" i="2"/>
  <c r="H13" i="2"/>
  <c r="I13" i="2"/>
  <c r="H33" i="2"/>
  <c r="E13" i="2"/>
  <c r="E33" i="2" s="1"/>
  <c r="J12" i="2"/>
  <c r="J18" i="2"/>
  <c r="J22" i="2"/>
  <c r="J27" i="2"/>
  <c r="J8" i="2"/>
  <c r="J10" i="2"/>
  <c r="J19" i="2"/>
  <c r="G12" i="1"/>
  <c r="G14" i="1" s="1"/>
  <c r="J28" i="2"/>
  <c r="J20" i="2"/>
  <c r="J25" i="2"/>
  <c r="J17" i="2"/>
  <c r="J6" i="2"/>
  <c r="J7" i="2"/>
  <c r="I23" i="2"/>
  <c r="I31" i="2" s="1"/>
  <c r="I33" i="2" l="1"/>
  <c r="F35" i="2" s="1"/>
  <c r="F37" i="2" s="1"/>
  <c r="J13" i="2"/>
  <c r="J23" i="2"/>
  <c r="J31" i="2" s="1"/>
  <c r="F29" i="1"/>
  <c r="F28" i="1"/>
  <c r="F27" i="1"/>
  <c r="F30" i="1"/>
  <c r="F26" i="1"/>
  <c r="F23" i="1"/>
  <c r="F22" i="1"/>
  <c r="F21" i="1"/>
  <c r="F20" i="1"/>
  <c r="F19" i="1"/>
  <c r="F18" i="1"/>
  <c r="J33" i="2" l="1"/>
  <c r="F11" i="1"/>
  <c r="H11" i="1" s="1"/>
  <c r="F10" i="1"/>
  <c r="H10" i="1" s="1"/>
  <c r="F8" i="1"/>
  <c r="H8" i="1" s="1"/>
  <c r="F7" i="1"/>
  <c r="H7" i="1" s="1"/>
  <c r="F6" i="1"/>
  <c r="H6" i="1" s="1"/>
  <c r="F5" i="1"/>
  <c r="F12" i="1" l="1"/>
  <c r="F14" i="1" s="1"/>
  <c r="H5" i="1"/>
  <c r="E27" i="1"/>
  <c r="H27" i="1" s="1"/>
  <c r="E30" i="1"/>
  <c r="H30" i="1" s="1"/>
  <c r="E29" i="1"/>
  <c r="H29" i="1" s="1"/>
  <c r="E28" i="1"/>
  <c r="H28" i="1" s="1"/>
  <c r="E26" i="1"/>
  <c r="H26" i="1" s="1"/>
  <c r="F24" i="1"/>
  <c r="F32" i="1" s="1"/>
  <c r="G24" i="1"/>
  <c r="G32" i="1" s="1"/>
  <c r="D24" i="1"/>
  <c r="D32" i="1" s="1"/>
  <c r="D3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H12" i="1" l="1"/>
  <c r="E24" i="1"/>
  <c r="E32" i="1" s="1"/>
  <c r="H24" i="1"/>
  <c r="G34" i="1"/>
  <c r="G36" i="1" s="1"/>
  <c r="F34" i="1"/>
  <c r="F36" i="1" s="1"/>
  <c r="E34" i="1" l="1"/>
  <c r="E36" i="1" s="1"/>
  <c r="B14" i="1"/>
  <c r="B34" i="1" s="1"/>
  <c r="B36" i="1" s="1"/>
  <c r="H36" i="1" s="1"/>
  <c r="H13" i="1"/>
  <c r="H14" i="1" s="1"/>
  <c r="H32" i="1"/>
  <c r="H34" i="1" l="1"/>
</calcChain>
</file>

<file path=xl/sharedStrings.xml><?xml version="1.0" encoding="utf-8"?>
<sst xmlns="http://schemas.openxmlformats.org/spreadsheetml/2006/main" count="85" uniqueCount="46">
  <si>
    <t>Total Other Support costs</t>
  </si>
  <si>
    <t>Total Staffing</t>
  </si>
  <si>
    <t>Total Teaching staff</t>
  </si>
  <si>
    <t>2021 - 22</t>
  </si>
  <si>
    <t>Total Revenue Expenditure</t>
  </si>
  <si>
    <t>Description</t>
  </si>
  <si>
    <t>Total Supplies and Services - Non Educational</t>
  </si>
  <si>
    <t>Ledger</t>
  </si>
  <si>
    <t>Income</t>
  </si>
  <si>
    <t>Account</t>
  </si>
  <si>
    <t>Total Other Staff</t>
  </si>
  <si>
    <t>Total School Allocation</t>
  </si>
  <si>
    <t>Total Administrative Staff</t>
  </si>
  <si>
    <t>Cumulative Surplus / (Deficit) C/Fwd</t>
  </si>
  <si>
    <t>Total Premises Staff</t>
  </si>
  <si>
    <t>Total 20% Rates Relief</t>
  </si>
  <si>
    <t>Total Educational support</t>
  </si>
  <si>
    <t>Total Indirect employee expenses</t>
  </si>
  <si>
    <t>Total Revenue Income</t>
  </si>
  <si>
    <t>Total Staff development</t>
  </si>
  <si>
    <t>Total Other Premises</t>
  </si>
  <si>
    <t>In Year Surplus / (Deficit)</t>
  </si>
  <si>
    <t>Total Local authority: Revenue income</t>
  </si>
  <si>
    <t>Expenditure</t>
  </si>
  <si>
    <t>Total Supplies and Services - Educational Other (exclude IT)</t>
  </si>
  <si>
    <t>Total Catering Staff</t>
  </si>
  <si>
    <t>Nominal</t>
  </si>
  <si>
    <t>Total (2016) Other Income</t>
  </si>
  <si>
    <t>Rastrick High School Academy Trust - Budget 2021-22 Income/Expenditure Report</t>
  </si>
  <si>
    <t>RHS</t>
  </si>
  <si>
    <t>Field Lane</t>
  </si>
  <si>
    <t>Siddal</t>
  </si>
  <si>
    <t>Luddenden Foot</t>
  </si>
  <si>
    <t>Total</t>
  </si>
  <si>
    <t>Polaris Trust</t>
  </si>
  <si>
    <t>Central Services Contribution 4.5% GAG *</t>
  </si>
  <si>
    <t>Total (2016) Other DfE family revenue Grants PP</t>
  </si>
  <si>
    <t>Total Other Government Grant revenue income (SEN)</t>
  </si>
  <si>
    <t>Total Other EFA revenue income (PE UIFSM)</t>
  </si>
  <si>
    <t>Smarties</t>
  </si>
  <si>
    <t>Polaris MAT - Forecast 2021-22 Income/Expenditure Report</t>
  </si>
  <si>
    <t>BFAT</t>
  </si>
  <si>
    <t>Total Income</t>
  </si>
  <si>
    <t>Pupil Numbers (Oct 2021 census)</t>
  </si>
  <si>
    <t>Central Services Levy - Primary 4.5%, Secondary 6% GAG</t>
  </si>
  <si>
    <t>Surplus / (Deficit) Brought Fwd 1-9-21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</si>
</sst>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\(#,##0\)"/>
  </numFmts>
  <fonts count="3" x14ac:knownFonts="1">
    <font>
      <sz val="10"/>
      <name val="Arial"/>
    </font>
    <font>
      <b/>
      <sz val="10"/>
      <color rgb="FFFFFFFF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A5A5A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0" fontId="1" fillId="2" borderId="1">
      <alignment horizontal="center" vertical="center"/>
    </xf>
    <xf numFmtId="0" fontId="2" fillId="0" borderId="1">
      <alignment wrapText="1"/>
    </xf>
    <xf numFmtId="164" fontId="2" fillId="3" borderId="1"/>
    <xf numFmtId="164" fontId="2" fillId="4" borderId="1">
      <alignment horizontal="center"/>
    </xf>
  </cellStyleXfs>
  <cellXfs count="22">
    <xf numFmtId="0" fontId="0" fillId="0" borderId="0" xfId="0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wrapText="1"/>
    </xf>
    <xf numFmtId="164" fontId="0" fillId="6" borderId="1" xfId="0" applyNumberFormat="1" applyFill="1" applyBorder="1"/>
    <xf numFmtId="164" fontId="0" fillId="6" borderId="1" xfId="0" applyNumberFormat="1" applyFill="1" applyBorder="1" applyAlignment="1">
      <alignment wrapText="1"/>
    </xf>
    <xf numFmtId="164" fontId="0" fillId="7" borderId="1" xfId="0" applyNumberFormat="1" applyFill="1" applyBorder="1"/>
    <xf numFmtId="0" fontId="2" fillId="0" borderId="0" xfId="0" applyFont="1"/>
    <xf numFmtId="164" fontId="1" fillId="5" borderId="1" xfId="0" applyNumberFormat="1" applyFont="1" applyFill="1" applyBorder="1"/>
    <xf numFmtId="164" fontId="1" fillId="5" borderId="1" xfId="0" applyNumberFormat="1" applyFont="1" applyFill="1" applyBorder="1"/>
    <xf numFmtId="164" fontId="0" fillId="0" borderId="0" xfId="0" applyNumberFormat="1"/>
    <xf numFmtId="164" fontId="2" fillId="6" borderId="1" xfId="0" applyNumberFormat="1" applyFont="1" applyFill="1" applyBorder="1"/>
    <xf numFmtId="0" fontId="1" fillId="5" borderId="1" xfId="0" applyFont="1" applyFill="1" applyBorder="1" applyAlignment="1"/>
    <xf numFmtId="164" fontId="1" fillId="5" borderId="2" xfId="0" applyNumberFormat="1" applyFont="1" applyFill="1" applyBorder="1"/>
    <xf numFmtId="164" fontId="1" fillId="5" borderId="2" xfId="0" applyNumberFormat="1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1" fillId="5" borderId="3" xfId="0" applyFont="1" applyFill="1" applyBorder="1"/>
    <xf numFmtId="0" fontId="1" fillId="5" borderId="4" xfId="0" applyFont="1" applyFill="1" applyBorder="1"/>
    <xf numFmtId="164" fontId="1" fillId="5" borderId="1" xfId="0" applyNumberFormat="1" applyFont="1" applyFill="1" applyBorder="1"/>
    <xf numFmtId="0" fontId="1" fillId="5" borderId="1" xfId="0" applyFont="1" applyFill="1" applyBorder="1"/>
  </cellXfs>
  <cellStyles count="10">
    <cellStyle name="AltSubTotalStyle" xfId="9" xr:uid="{00000000-0005-0000-0000-00000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  <cellStyle name="StandardStyle" xfId="7" xr:uid="{00000000-0005-0000-0000-000007000000}"/>
    <cellStyle name="SubtotalStyle" xfId="8" xr:uid="{00000000-0005-0000-0000-000008000000}"/>
    <cellStyle name="TotalStyle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F%20Income%20&amp;%20Expenditure%20Report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%20Income%20&amp;%20Expenditure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L%20Income%20&amp;%20Expenditure%20Repor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&amp; Expenditure"/>
    </sheetNames>
    <sheetDataSet>
      <sheetData sheetId="0">
        <row r="10">
          <cell r="D10">
            <v>787623.30999999994</v>
          </cell>
        </row>
        <row r="12">
          <cell r="D12">
            <v>14936.51</v>
          </cell>
        </row>
        <row r="14">
          <cell r="D14">
            <v>2585</v>
          </cell>
        </row>
        <row r="16">
          <cell r="D16">
            <v>32280</v>
          </cell>
        </row>
        <row r="19">
          <cell r="D19">
            <v>48375</v>
          </cell>
        </row>
        <row r="21">
          <cell r="D21">
            <v>17819</v>
          </cell>
        </row>
        <row r="23">
          <cell r="D23">
            <v>9500</v>
          </cell>
        </row>
        <row r="32">
          <cell r="D32">
            <v>485251.28860000003</v>
          </cell>
        </row>
        <row r="37">
          <cell r="D37">
            <v>194278.31349999999</v>
          </cell>
        </row>
        <row r="42">
          <cell r="D42">
            <v>37874.746500000001</v>
          </cell>
        </row>
        <row r="47">
          <cell r="D47">
            <v>39329.797599999998</v>
          </cell>
        </row>
        <row r="52">
          <cell r="D52">
            <v>5890.5636999999997</v>
          </cell>
        </row>
        <row r="57">
          <cell r="D57">
            <v>23137.044000000002</v>
          </cell>
        </row>
        <row r="61">
          <cell r="D61">
            <v>4249.99</v>
          </cell>
        </row>
        <row r="63">
          <cell r="D63">
            <v>2637.31</v>
          </cell>
        </row>
        <row r="71">
          <cell r="D71">
            <v>30361.71</v>
          </cell>
        </row>
        <row r="75">
          <cell r="D75">
            <v>6076.35</v>
          </cell>
        </row>
        <row r="77">
          <cell r="D77">
            <v>2390.84</v>
          </cell>
        </row>
        <row r="81">
          <cell r="D81">
            <v>14934</v>
          </cell>
        </row>
        <row r="83">
          <cell r="D83">
            <v>3648</v>
          </cell>
        </row>
        <row r="88">
          <cell r="D88">
            <v>22130.82</v>
          </cell>
        </row>
        <row r="111">
          <cell r="D111">
            <v>49203.88</v>
          </cell>
        </row>
        <row r="115">
          <cell r="D115">
            <v>1265.97</v>
          </cell>
        </row>
        <row r="131">
          <cell r="D131">
            <v>38504.1</v>
          </cell>
        </row>
        <row r="133">
          <cell r="D133">
            <v>36115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&amp; Expenditure"/>
    </sheetNames>
    <sheetDataSet>
      <sheetData sheetId="0">
        <row r="10">
          <cell r="D10">
            <v>978115.32</v>
          </cell>
        </row>
        <row r="12">
          <cell r="D12">
            <v>5376</v>
          </cell>
        </row>
        <row r="14">
          <cell r="D14">
            <v>103565</v>
          </cell>
        </row>
        <row r="17">
          <cell r="D17">
            <v>34300</v>
          </cell>
        </row>
        <row r="21">
          <cell r="D21">
            <v>84767.799999999988</v>
          </cell>
        </row>
        <row r="25">
          <cell r="D25">
            <v>38419.599999999999</v>
          </cell>
        </row>
        <row r="34">
          <cell r="D34">
            <v>545802.18420000002</v>
          </cell>
        </row>
        <row r="39">
          <cell r="D39">
            <v>235960.9614</v>
          </cell>
        </row>
        <row r="44">
          <cell r="D44">
            <v>64071.471799999999</v>
          </cell>
        </row>
        <row r="49">
          <cell r="D49">
            <v>76842.3217</v>
          </cell>
        </row>
        <row r="54">
          <cell r="D54">
            <v>16014.0322</v>
          </cell>
        </row>
        <row r="59">
          <cell r="D59">
            <v>19458.199000000001</v>
          </cell>
        </row>
        <row r="63">
          <cell r="D63">
            <v>6000</v>
          </cell>
        </row>
        <row r="65">
          <cell r="D65">
            <v>5483.52</v>
          </cell>
        </row>
        <row r="69">
          <cell r="D69">
            <v>29351.83</v>
          </cell>
        </row>
        <row r="78">
          <cell r="D78">
            <v>55766.91</v>
          </cell>
        </row>
        <row r="80">
          <cell r="D80">
            <v>2244</v>
          </cell>
        </row>
        <row r="82">
          <cell r="D82">
            <v>19220</v>
          </cell>
        </row>
        <row r="84">
          <cell r="D84">
            <v>3781</v>
          </cell>
        </row>
        <row r="86">
          <cell r="D86">
            <v>3000</v>
          </cell>
        </row>
        <row r="108">
          <cell r="D108">
            <v>34320.794000000002</v>
          </cell>
        </row>
        <row r="123">
          <cell r="D123">
            <v>54255.960000000006</v>
          </cell>
        </row>
        <row r="130">
          <cell r="D130">
            <v>3925.29</v>
          </cell>
        </row>
        <row r="132">
          <cell r="D132">
            <v>50</v>
          </cell>
        </row>
        <row r="134">
          <cell r="D134">
            <v>44015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&amp; Expenditure"/>
    </sheetNames>
    <sheetDataSet>
      <sheetData sheetId="0">
        <row r="33">
          <cell r="D33">
            <v>373620.90730000002</v>
          </cell>
        </row>
        <row r="38">
          <cell r="D38">
            <v>176175.3547</v>
          </cell>
        </row>
        <row r="43">
          <cell r="D43">
            <v>34533.251900000003</v>
          </cell>
        </row>
        <row r="48">
          <cell r="D48">
            <v>22020.534999999996</v>
          </cell>
        </row>
        <row r="53">
          <cell r="D53">
            <v>11496.122799999999</v>
          </cell>
        </row>
        <row r="58">
          <cell r="D58">
            <v>4041.3371999999999</v>
          </cell>
        </row>
        <row r="62">
          <cell r="D62">
            <v>4510.93</v>
          </cell>
        </row>
        <row r="65">
          <cell r="D65">
            <v>4584.66</v>
          </cell>
        </row>
        <row r="67">
          <cell r="D67">
            <v>4200</v>
          </cell>
        </row>
        <row r="77">
          <cell r="D77">
            <v>47723.15</v>
          </cell>
        </row>
        <row r="79">
          <cell r="D79">
            <v>1755</v>
          </cell>
        </row>
        <row r="81">
          <cell r="D81">
            <v>13500</v>
          </cell>
        </row>
        <row r="83">
          <cell r="D83">
            <v>1919</v>
          </cell>
        </row>
        <row r="86">
          <cell r="D86">
            <v>2150</v>
          </cell>
        </row>
        <row r="108">
          <cell r="D108">
            <v>61888.630000000005</v>
          </cell>
        </row>
        <row r="120">
          <cell r="D120">
            <v>30691.450000000004</v>
          </cell>
        </row>
        <row r="126">
          <cell r="D126">
            <v>2014.19</v>
          </cell>
        </row>
        <row r="128">
          <cell r="D128">
            <v>50</v>
          </cell>
        </row>
        <row r="130">
          <cell r="D130">
            <v>26211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Normal="100" workbookViewId="0">
      <selection activeCell="J35" sqref="J35"/>
    </sheetView>
  </sheetViews>
  <sheetFormatPr defaultColWidth="9.140625" defaultRowHeight="12.75" customHeight="1" x14ac:dyDescent="0.2"/>
  <cols>
    <col min="1" max="1" width="51.42578125" customWidth="1"/>
    <col min="2" max="8" width="18" customWidth="1"/>
  </cols>
  <sheetData>
    <row r="1" spans="1:8" ht="12.75" customHeight="1" x14ac:dyDescent="0.2">
      <c r="A1" s="12" t="s">
        <v>40</v>
      </c>
      <c r="B1" s="12"/>
      <c r="C1" s="12"/>
      <c r="D1" s="12"/>
      <c r="E1" s="12"/>
      <c r="F1" s="12"/>
      <c r="G1" s="12"/>
      <c r="H1" s="12"/>
    </row>
    <row r="3" spans="1:8" ht="12.75" customHeight="1" x14ac:dyDescent="0.2">
      <c r="A3" s="15" t="s">
        <v>8</v>
      </c>
      <c r="B3" s="16"/>
      <c r="C3" s="16"/>
      <c r="D3" s="16"/>
      <c r="E3" s="16"/>
      <c r="F3" s="16"/>
      <c r="G3" s="16"/>
      <c r="H3" s="17"/>
    </row>
    <row r="4" spans="1:8" ht="12.75" customHeight="1" x14ac:dyDescent="0.2">
      <c r="A4" s="1" t="s">
        <v>5</v>
      </c>
      <c r="B4" s="1" t="s">
        <v>34</v>
      </c>
      <c r="C4" s="1" t="s">
        <v>39</v>
      </c>
      <c r="D4" s="2" t="s">
        <v>29</v>
      </c>
      <c r="E4" s="2" t="s">
        <v>30</v>
      </c>
      <c r="F4" s="2" t="s">
        <v>32</v>
      </c>
      <c r="G4" s="2" t="s">
        <v>31</v>
      </c>
      <c r="H4" s="2" t="s">
        <v>33</v>
      </c>
    </row>
    <row r="5" spans="1:8" ht="12.75" customHeight="1" x14ac:dyDescent="0.2">
      <c r="A5" s="5" t="s">
        <v>11</v>
      </c>
      <c r="B5" s="5"/>
      <c r="C5" s="5"/>
      <c r="D5" s="4">
        <v>8917756.9499999993</v>
      </c>
      <c r="E5" s="4">
        <v>582462.41</v>
      </c>
      <c r="F5" s="4">
        <f>'[1]Income &amp; Expenditure'!$D$10+'[1]Income &amp; Expenditure'!$D$12</f>
        <v>802559.82</v>
      </c>
      <c r="G5" s="4">
        <f>'[2]Income &amp; Expenditure'!$D$10</f>
        <v>978115.32</v>
      </c>
      <c r="H5" s="4">
        <f>SUM(B5:G5)</f>
        <v>11280894.5</v>
      </c>
    </row>
    <row r="6" spans="1:8" ht="12.75" customHeight="1" x14ac:dyDescent="0.2">
      <c r="A6" s="5" t="s">
        <v>15</v>
      </c>
      <c r="B6" s="5"/>
      <c r="C6" s="5"/>
      <c r="D6" s="4">
        <v>36096</v>
      </c>
      <c r="E6" s="4">
        <v>2688</v>
      </c>
      <c r="F6" s="4">
        <f>'[1]Income &amp; Expenditure'!$D$14</f>
        <v>2585</v>
      </c>
      <c r="G6" s="4">
        <f>'[2]Income &amp; Expenditure'!$D$12</f>
        <v>5376</v>
      </c>
      <c r="H6" s="4">
        <f t="shared" ref="H6:H11" si="0">SUM(B6:G6)</f>
        <v>46745</v>
      </c>
    </row>
    <row r="7" spans="1:8" ht="12.75" customHeight="1" x14ac:dyDescent="0.2">
      <c r="A7" s="5" t="s">
        <v>36</v>
      </c>
      <c r="B7" s="5"/>
      <c r="C7" s="5"/>
      <c r="D7" s="4">
        <v>367675</v>
      </c>
      <c r="E7" s="4">
        <v>84735</v>
      </c>
      <c r="F7" s="4">
        <f>'[1]Income &amp; Expenditure'!$D$16</f>
        <v>32280</v>
      </c>
      <c r="G7" s="4">
        <f>'[2]Income &amp; Expenditure'!$D$14</f>
        <v>103565</v>
      </c>
      <c r="H7" s="4">
        <f t="shared" si="0"/>
        <v>588255</v>
      </c>
    </row>
    <row r="8" spans="1:8" ht="12.75" customHeight="1" x14ac:dyDescent="0.2">
      <c r="A8" s="5" t="s">
        <v>38</v>
      </c>
      <c r="B8" s="5"/>
      <c r="C8" s="5"/>
      <c r="D8" s="4"/>
      <c r="E8" s="4">
        <v>23234</v>
      </c>
      <c r="F8" s="4">
        <f>'[1]Income &amp; Expenditure'!$D$19</f>
        <v>48375</v>
      </c>
      <c r="G8" s="4">
        <f>'[2]Income &amp; Expenditure'!$D$17</f>
        <v>34300</v>
      </c>
      <c r="H8" s="4">
        <f t="shared" si="0"/>
        <v>105909</v>
      </c>
    </row>
    <row r="9" spans="1:8" ht="12.75" customHeight="1" x14ac:dyDescent="0.2">
      <c r="A9" s="5" t="s">
        <v>22</v>
      </c>
      <c r="B9" s="5"/>
      <c r="C9" s="5"/>
      <c r="D9" s="4">
        <v>237000</v>
      </c>
      <c r="E9" s="4"/>
      <c r="F9" s="4"/>
      <c r="G9" s="4"/>
      <c r="H9" s="4">
        <f t="shared" si="0"/>
        <v>237000</v>
      </c>
    </row>
    <row r="10" spans="1:8" ht="12.75" customHeight="1" x14ac:dyDescent="0.2">
      <c r="A10" s="5" t="s">
        <v>37</v>
      </c>
      <c r="B10" s="5"/>
      <c r="C10" s="5"/>
      <c r="D10" s="4">
        <v>149766</v>
      </c>
      <c r="E10" s="4">
        <v>76433.8</v>
      </c>
      <c r="F10" s="4">
        <f>'[1]Income &amp; Expenditure'!$D$21</f>
        <v>17819</v>
      </c>
      <c r="G10" s="4">
        <f>'[2]Income &amp; Expenditure'!$D$21</f>
        <v>84767.799999999988</v>
      </c>
      <c r="H10" s="4">
        <f t="shared" si="0"/>
        <v>328786.59999999998</v>
      </c>
    </row>
    <row r="11" spans="1:8" ht="12.75" customHeight="1" x14ac:dyDescent="0.2">
      <c r="A11" s="5" t="s">
        <v>27</v>
      </c>
      <c r="B11" s="5">
        <v>20000</v>
      </c>
      <c r="C11" s="5">
        <v>455000</v>
      </c>
      <c r="D11" s="4">
        <v>625445</v>
      </c>
      <c r="E11" s="4">
        <v>9120</v>
      </c>
      <c r="F11" s="4">
        <f>'[1]Income &amp; Expenditure'!$D$23</f>
        <v>9500</v>
      </c>
      <c r="G11" s="4">
        <f>'[2]Income &amp; Expenditure'!$D$25</f>
        <v>38419.599999999999</v>
      </c>
      <c r="H11" s="4">
        <f t="shared" si="0"/>
        <v>1157484.6000000001</v>
      </c>
    </row>
    <row r="12" spans="1:8" ht="12.75" customHeight="1" x14ac:dyDescent="0.2">
      <c r="A12" s="14" t="s">
        <v>18</v>
      </c>
      <c r="B12" s="6">
        <f>SUM(B5:B11)</f>
        <v>20000</v>
      </c>
      <c r="C12" s="6">
        <f>SUM(C5:C11)</f>
        <v>455000</v>
      </c>
      <c r="D12" s="6">
        <f>SUM(D5:D11)</f>
        <v>10333738.949999999</v>
      </c>
      <c r="E12" s="6">
        <f t="shared" ref="E12:H12" si="1">SUM(E5:E11)</f>
        <v>778673.21000000008</v>
      </c>
      <c r="F12" s="6">
        <f t="shared" si="1"/>
        <v>913118.82</v>
      </c>
      <c r="G12" s="6">
        <f t="shared" si="1"/>
        <v>1244543.72</v>
      </c>
      <c r="H12" s="6">
        <f t="shared" si="1"/>
        <v>13745074.699999999</v>
      </c>
    </row>
    <row r="13" spans="1:8" ht="12.75" customHeight="1" x14ac:dyDescent="0.2">
      <c r="A13" s="5" t="s">
        <v>44</v>
      </c>
      <c r="B13" s="5">
        <f>D31+E31+F31+G31</f>
        <v>641406.4169999999</v>
      </c>
      <c r="C13" s="5"/>
      <c r="D13" s="4"/>
      <c r="E13" s="4"/>
      <c r="F13" s="4"/>
      <c r="G13" s="4"/>
      <c r="H13" s="4">
        <f>SUM(B13:G13)</f>
        <v>641406.4169999999</v>
      </c>
    </row>
    <row r="14" spans="1:8" ht="12.75" customHeight="1" x14ac:dyDescent="0.2">
      <c r="A14" s="14" t="s">
        <v>42</v>
      </c>
      <c r="B14" s="8">
        <f>B12+B13</f>
        <v>661406.4169999999</v>
      </c>
      <c r="C14" s="8">
        <f>C12+C13</f>
        <v>455000</v>
      </c>
      <c r="D14" s="8">
        <f t="shared" ref="D14:H14" si="2">D12+D13</f>
        <v>10333738.949999999</v>
      </c>
      <c r="E14" s="8">
        <f t="shared" si="2"/>
        <v>778673.21000000008</v>
      </c>
      <c r="F14" s="8">
        <f t="shared" si="2"/>
        <v>913118.82</v>
      </c>
      <c r="G14" s="8">
        <f t="shared" si="2"/>
        <v>1244543.72</v>
      </c>
      <c r="H14" s="8">
        <f t="shared" si="2"/>
        <v>14386481.116999999</v>
      </c>
    </row>
    <row r="15" spans="1:8" ht="12.75" customHeight="1" x14ac:dyDescent="0.2">
      <c r="D15" s="10"/>
    </row>
    <row r="16" spans="1:8" ht="12.75" customHeight="1" x14ac:dyDescent="0.2">
      <c r="A16" s="18"/>
      <c r="B16" s="18"/>
      <c r="C16" s="18"/>
      <c r="D16" s="18"/>
      <c r="E16" s="18"/>
      <c r="F16" s="18"/>
      <c r="G16" s="18"/>
      <c r="H16" s="19"/>
    </row>
    <row r="17" spans="1:8" ht="12.75" customHeight="1" x14ac:dyDescent="0.2">
      <c r="A17" s="1" t="s">
        <v>5</v>
      </c>
      <c r="B17" s="1"/>
      <c r="C17" s="1"/>
      <c r="D17" s="2" t="s">
        <v>3</v>
      </c>
      <c r="E17" s="2"/>
      <c r="F17" s="2"/>
      <c r="G17" s="2"/>
      <c r="H17" s="2"/>
    </row>
    <row r="18" spans="1:8" ht="12.75" customHeight="1" x14ac:dyDescent="0.2">
      <c r="A18" s="5" t="s">
        <v>2</v>
      </c>
      <c r="B18" s="5">
        <v>403355</v>
      </c>
      <c r="C18" s="5"/>
      <c r="D18" s="11">
        <f>5860124.7192-288389</f>
        <v>5571735.7192000002</v>
      </c>
      <c r="E18" s="4">
        <f>'[3]Income &amp; Expenditure'!$D$33</f>
        <v>373620.90730000002</v>
      </c>
      <c r="F18" s="4">
        <f>'[1]Income &amp; Expenditure'!$D$32</f>
        <v>485251.28860000003</v>
      </c>
      <c r="G18" s="4">
        <f>'[2]Income &amp; Expenditure'!$D$34</f>
        <v>545802.18420000002</v>
      </c>
      <c r="H18" s="4">
        <f>SUM(B18:G18)</f>
        <v>7379765.0992999999</v>
      </c>
    </row>
    <row r="19" spans="1:8" ht="12.75" customHeight="1" x14ac:dyDescent="0.2">
      <c r="A19" s="5" t="s">
        <v>16</v>
      </c>
      <c r="B19" s="5"/>
      <c r="C19" s="5"/>
      <c r="D19" s="4">
        <f>1015357.9718-39016</f>
        <v>976341.97180000006</v>
      </c>
      <c r="E19" s="4">
        <f>'[3]Income &amp; Expenditure'!$D$38</f>
        <v>176175.3547</v>
      </c>
      <c r="F19" s="4">
        <f>'[1]Income &amp; Expenditure'!$D$37</f>
        <v>194278.31349999999</v>
      </c>
      <c r="G19" s="4">
        <f>'[2]Income &amp; Expenditure'!$D$39</f>
        <v>235960.9614</v>
      </c>
      <c r="H19" s="4">
        <f t="shared" ref="H19:H23" si="3">SUM(B19:G19)</f>
        <v>1582756.6013999998</v>
      </c>
    </row>
    <row r="20" spans="1:8" ht="12.75" customHeight="1" x14ac:dyDescent="0.2">
      <c r="A20" s="5" t="s">
        <v>14</v>
      </c>
      <c r="B20" s="5"/>
      <c r="C20" s="5"/>
      <c r="D20" s="4">
        <v>200391.73149999999</v>
      </c>
      <c r="E20" s="4">
        <f>'[3]Income &amp; Expenditure'!$D$43</f>
        <v>34533.251900000003</v>
      </c>
      <c r="F20" s="4">
        <f>'[1]Income &amp; Expenditure'!$D$42</f>
        <v>37874.746500000001</v>
      </c>
      <c r="G20" s="4">
        <f>'[2]Income &amp; Expenditure'!$D$44</f>
        <v>64071.471799999999</v>
      </c>
      <c r="H20" s="4">
        <f t="shared" si="3"/>
        <v>336871.20169999998</v>
      </c>
    </row>
    <row r="21" spans="1:8" ht="12.75" customHeight="1" x14ac:dyDescent="0.2">
      <c r="A21" s="5" t="s">
        <v>12</v>
      </c>
      <c r="B21" s="5">
        <f>373525-172000</f>
        <v>201525</v>
      </c>
      <c r="C21" s="5"/>
      <c r="D21" s="4">
        <f>551343.3835-232081+172000</f>
        <v>491262.3835</v>
      </c>
      <c r="E21" s="4">
        <f>'[3]Income &amp; Expenditure'!$D$48</f>
        <v>22020.534999999996</v>
      </c>
      <c r="F21" s="4">
        <f>'[1]Income &amp; Expenditure'!$D$47</f>
        <v>39329.797599999998</v>
      </c>
      <c r="G21" s="4">
        <f>'[2]Income &amp; Expenditure'!$D$49</f>
        <v>76842.3217</v>
      </c>
      <c r="H21" s="4">
        <f t="shared" si="3"/>
        <v>830980.03780000005</v>
      </c>
    </row>
    <row r="22" spans="1:8" ht="12.75" customHeight="1" x14ac:dyDescent="0.2">
      <c r="A22" s="5" t="s">
        <v>25</v>
      </c>
      <c r="B22" s="5"/>
      <c r="C22" s="5"/>
      <c r="D22" s="4">
        <v>202274.7493</v>
      </c>
      <c r="E22" s="4">
        <f>'[3]Income &amp; Expenditure'!$D$53</f>
        <v>11496.122799999999</v>
      </c>
      <c r="F22" s="4">
        <f>'[1]Income &amp; Expenditure'!$D$52</f>
        <v>5890.5636999999997</v>
      </c>
      <c r="G22" s="4">
        <f>'[2]Income &amp; Expenditure'!$D$54</f>
        <v>16014.0322</v>
      </c>
      <c r="H22" s="4">
        <f t="shared" si="3"/>
        <v>235675.46799999999</v>
      </c>
    </row>
    <row r="23" spans="1:8" ht="12.75" customHeight="1" x14ac:dyDescent="0.2">
      <c r="A23" s="5" t="s">
        <v>10</v>
      </c>
      <c r="B23" s="5"/>
      <c r="C23" s="5">
        <v>270000</v>
      </c>
      <c r="D23" s="4">
        <v>80017.4035</v>
      </c>
      <c r="E23" s="4">
        <f>'[3]Income &amp; Expenditure'!$D$58</f>
        <v>4041.3371999999999</v>
      </c>
      <c r="F23" s="4">
        <f>'[1]Income &amp; Expenditure'!$D$57</f>
        <v>23137.044000000002</v>
      </c>
      <c r="G23" s="4">
        <f>'[2]Income &amp; Expenditure'!$D$59</f>
        <v>19458.199000000001</v>
      </c>
      <c r="H23" s="4">
        <f t="shared" si="3"/>
        <v>396653.98370000004</v>
      </c>
    </row>
    <row r="24" spans="1:8" ht="12.75" customHeight="1" x14ac:dyDescent="0.2">
      <c r="A24" s="6" t="s">
        <v>1</v>
      </c>
      <c r="B24" s="6">
        <f>SUM(B18:B23)</f>
        <v>604880</v>
      </c>
      <c r="C24" s="6">
        <f>SUM(C18:C23)</f>
        <v>270000</v>
      </c>
      <c r="D24" s="6">
        <f>SUM(D18:D23)</f>
        <v>7522023.9588000001</v>
      </c>
      <c r="E24" s="6">
        <f>SUM(E18:E23)</f>
        <v>621887.50890000002</v>
      </c>
      <c r="F24" s="6">
        <f t="shared" ref="F24:H24" si="4">SUM(F18:F23)</f>
        <v>785761.75390000013</v>
      </c>
      <c r="G24" s="6">
        <f t="shared" si="4"/>
        <v>958149.17030000011</v>
      </c>
      <c r="H24" s="6">
        <f t="shared" si="4"/>
        <v>10762702.391900001</v>
      </c>
    </row>
    <row r="25" spans="1:8" ht="15" customHeight="1" x14ac:dyDescent="0.2">
      <c r="A25" s="5" t="s">
        <v>17</v>
      </c>
      <c r="B25" s="5"/>
      <c r="C25" s="5"/>
      <c r="D25" s="4">
        <v>20000</v>
      </c>
      <c r="E25" s="4">
        <v>0</v>
      </c>
      <c r="F25" s="4">
        <v>0</v>
      </c>
      <c r="G25" s="4">
        <v>0</v>
      </c>
      <c r="H25" s="4">
        <f>SUM(B25:G25)</f>
        <v>20000</v>
      </c>
    </row>
    <row r="26" spans="1:8" ht="15" customHeight="1" x14ac:dyDescent="0.2">
      <c r="A26" s="5" t="s">
        <v>19</v>
      </c>
      <c r="B26" s="5"/>
      <c r="C26" s="5"/>
      <c r="D26" s="4">
        <v>28154.052000000003</v>
      </c>
      <c r="E26" s="4">
        <f>'[3]Income &amp; Expenditure'!$D$62</f>
        <v>4510.93</v>
      </c>
      <c r="F26" s="4">
        <f>'[1]Income &amp; Expenditure'!$D$61</f>
        <v>4249.99</v>
      </c>
      <c r="G26" s="4">
        <f>'[2]Income &amp; Expenditure'!$D$63</f>
        <v>6000</v>
      </c>
      <c r="H26" s="4">
        <f t="shared" ref="H26:H31" si="5">SUM(B26:G26)</f>
        <v>42914.972000000002</v>
      </c>
    </row>
    <row r="27" spans="1:8" ht="15" customHeight="1" x14ac:dyDescent="0.2">
      <c r="A27" s="5" t="s">
        <v>20</v>
      </c>
      <c r="B27" s="5"/>
      <c r="C27" s="5"/>
      <c r="D27" s="4">
        <v>511907.66000000003</v>
      </c>
      <c r="E27" s="4">
        <f>'[3]Income &amp; Expenditure'!$D$65+'[3]Income &amp; Expenditure'!$D$67+'[3]Income &amp; Expenditure'!$D$77+'[3]Income &amp; Expenditure'!$D$81+'[3]Income &amp; Expenditure'!$D$83</f>
        <v>71926.81</v>
      </c>
      <c r="F27" s="4">
        <f>'[1]Income &amp; Expenditure'!$D$63+'[1]Income &amp; Expenditure'!$D$71+'[1]Income &amp; Expenditure'!$D$75+'[1]Income &amp; Expenditure'!$D$81+'[1]Income &amp; Expenditure'!$D$83</f>
        <v>57657.369999999995</v>
      </c>
      <c r="G27" s="4">
        <f>'[2]Income &amp; Expenditure'!$D$65+'[2]Income &amp; Expenditure'!$D$69+'[2]Income &amp; Expenditure'!$D$78+'[2]Income &amp; Expenditure'!$D$82+'[2]Income &amp; Expenditure'!$D$84</f>
        <v>113603.26000000001</v>
      </c>
      <c r="H27" s="4">
        <f t="shared" si="5"/>
        <v>755095.1</v>
      </c>
    </row>
    <row r="28" spans="1:8" ht="15" customHeight="1" x14ac:dyDescent="0.2">
      <c r="A28" s="5" t="s">
        <v>24</v>
      </c>
      <c r="B28" s="5"/>
      <c r="C28" s="5"/>
      <c r="D28" s="4">
        <v>607677.97400000005</v>
      </c>
      <c r="E28" s="4">
        <f>'[3]Income &amp; Expenditure'!$D$86+'[3]Income &amp; Expenditure'!$D$79+'[3]Income &amp; Expenditure'!$D$108</f>
        <v>65793.63</v>
      </c>
      <c r="F28" s="4">
        <f>'[1]Income &amp; Expenditure'!$D$111</f>
        <v>49203.88</v>
      </c>
      <c r="G28" s="4">
        <f>'[2]Income &amp; Expenditure'!$D$108</f>
        <v>34320.794000000002</v>
      </c>
      <c r="H28" s="4">
        <f t="shared" si="5"/>
        <v>756996.27800000005</v>
      </c>
    </row>
    <row r="29" spans="1:8" ht="15" customHeight="1" x14ac:dyDescent="0.2">
      <c r="A29" s="5" t="s">
        <v>6</v>
      </c>
      <c r="B29" s="5">
        <v>34000</v>
      </c>
      <c r="C29" s="5">
        <v>60000</v>
      </c>
      <c r="D29" s="4">
        <v>519122.989</v>
      </c>
      <c r="E29" s="4">
        <f>'[3]Income &amp; Expenditure'!$D$120</f>
        <v>30691.450000000004</v>
      </c>
      <c r="F29" s="4">
        <f>'[1]Income &amp; Expenditure'!$D$77+'[1]Income &amp; Expenditure'!$D$88+'[1]Income &amp; Expenditure'!$D$115</f>
        <v>25787.63</v>
      </c>
      <c r="G29" s="4">
        <f>'[2]Income &amp; Expenditure'!$D$86+'[2]Income &amp; Expenditure'!$D$123</f>
        <v>57255.960000000006</v>
      </c>
      <c r="H29" s="4">
        <f t="shared" si="5"/>
        <v>726858.02899999998</v>
      </c>
    </row>
    <row r="30" spans="1:8" ht="15" customHeight="1" x14ac:dyDescent="0.2">
      <c r="A30" s="5" t="s">
        <v>0</v>
      </c>
      <c r="B30" s="5"/>
      <c r="C30" s="5"/>
      <c r="D30" s="4">
        <v>285259.29099999997</v>
      </c>
      <c r="E30" s="4">
        <f>'[3]Income &amp; Expenditure'!$D$126+'[3]Income &amp; Expenditure'!$D$128</f>
        <v>2064.19</v>
      </c>
      <c r="F30" s="4">
        <f>'[1]Income &amp; Expenditure'!$D$131</f>
        <v>38504.1</v>
      </c>
      <c r="G30" s="4">
        <f>'[2]Income &amp; Expenditure'!$D$130+'[2]Income &amp; Expenditure'!$D$132+'[2]Income &amp; Expenditure'!$D$80</f>
        <v>6219.29</v>
      </c>
      <c r="H30" s="4">
        <f t="shared" si="5"/>
        <v>332046.87099999993</v>
      </c>
    </row>
    <row r="31" spans="1:8" ht="15" customHeight="1" x14ac:dyDescent="0.2">
      <c r="A31" s="5" t="s">
        <v>44</v>
      </c>
      <c r="B31" s="5"/>
      <c r="C31" s="5"/>
      <c r="D31" s="4">
        <f>D5*6%</f>
        <v>535065.4169999999</v>
      </c>
      <c r="E31" s="4">
        <f>'[3]Income &amp; Expenditure'!$D$130</f>
        <v>26211</v>
      </c>
      <c r="F31" s="4">
        <f>'[1]Income &amp; Expenditure'!$D$133</f>
        <v>36115</v>
      </c>
      <c r="G31" s="4">
        <f>'[2]Income &amp; Expenditure'!$D$134</f>
        <v>44015</v>
      </c>
      <c r="H31" s="4">
        <f t="shared" si="5"/>
        <v>641406.4169999999</v>
      </c>
    </row>
    <row r="32" spans="1:8" ht="12.75" customHeight="1" x14ac:dyDescent="0.2">
      <c r="A32" s="14" t="s">
        <v>4</v>
      </c>
      <c r="B32" s="8">
        <f>B24+B25+B26+B27+B28+B29+B30+B31</f>
        <v>638880</v>
      </c>
      <c r="C32" s="8">
        <f>C24+C25+C26+C27+C28+C29+C30+C31</f>
        <v>330000</v>
      </c>
      <c r="D32" s="8">
        <f>D24+D25+D26+D27+D28+D29+D30+D31</f>
        <v>10029211.341799999</v>
      </c>
      <c r="E32" s="8">
        <f>E24+E25+E26+E27+E28+E29+E30+E31</f>
        <v>823085.51889999991</v>
      </c>
      <c r="F32" s="8">
        <f t="shared" ref="F32:H32" si="6">F24+F25+F26+F27+F28+F29+F30+F31</f>
        <v>997279.7239000001</v>
      </c>
      <c r="G32" s="8">
        <f t="shared" si="6"/>
        <v>1219563.4743000001</v>
      </c>
      <c r="H32" s="8">
        <f t="shared" si="6"/>
        <v>14038020.058899999</v>
      </c>
    </row>
    <row r="34" spans="1:10" ht="12.75" customHeight="1" x14ac:dyDescent="0.2">
      <c r="A34" s="13" t="s">
        <v>21</v>
      </c>
      <c r="B34" s="8">
        <f t="shared" ref="B34:H34" si="7">B14-B32</f>
        <v>22526.416999999899</v>
      </c>
      <c r="C34" s="8">
        <f t="shared" si="7"/>
        <v>125000</v>
      </c>
      <c r="D34" s="8">
        <f t="shared" si="7"/>
        <v>304527.6082000006</v>
      </c>
      <c r="E34" s="8">
        <f t="shared" si="7"/>
        <v>-44412.308899999829</v>
      </c>
      <c r="F34" s="8">
        <f t="shared" si="7"/>
        <v>-84160.90390000015</v>
      </c>
      <c r="G34" s="8">
        <f t="shared" si="7"/>
        <v>24980.245699999854</v>
      </c>
      <c r="H34" s="8">
        <f t="shared" si="7"/>
        <v>348461.05810000002</v>
      </c>
    </row>
    <row r="35" spans="1:10" ht="12.75" customHeight="1" x14ac:dyDescent="0.2">
      <c r="A35" s="8" t="s">
        <v>45</v>
      </c>
      <c r="B35" s="8">
        <v>-6566</v>
      </c>
      <c r="C35" s="8"/>
      <c r="D35" s="8">
        <v>821000</v>
      </c>
      <c r="E35" s="8">
        <v>-100989</v>
      </c>
      <c r="F35" s="8">
        <v>80882</v>
      </c>
      <c r="G35" s="8">
        <v>474453</v>
      </c>
      <c r="H35" s="8">
        <f>SUM(B35:G35)</f>
        <v>1268780</v>
      </c>
      <c r="J35" s="10"/>
    </row>
    <row r="36" spans="1:10" ht="12.75" customHeight="1" x14ac:dyDescent="0.2">
      <c r="A36" s="8" t="s">
        <v>13</v>
      </c>
      <c r="B36" s="9">
        <f t="shared" ref="B36:C36" si="8">B35+B34</f>
        <v>15960.416999999899</v>
      </c>
      <c r="C36" s="9">
        <f t="shared" si="8"/>
        <v>125000</v>
      </c>
      <c r="D36" s="8">
        <f>D35+D34</f>
        <v>1125527.6082000006</v>
      </c>
      <c r="E36" s="8">
        <f t="shared" ref="E36:G36" si="9">E35+E34</f>
        <v>-145401.30889999983</v>
      </c>
      <c r="F36" s="8">
        <f t="shared" si="9"/>
        <v>-3278.9039000001503</v>
      </c>
      <c r="G36" s="8">
        <f t="shared" si="9"/>
        <v>499433.24569999985</v>
      </c>
      <c r="H36" s="8">
        <f>SUM(B36:G36)</f>
        <v>1617241.0581000005</v>
      </c>
    </row>
    <row r="38" spans="1:10" ht="12.75" customHeight="1" x14ac:dyDescent="0.2">
      <c r="A38" s="13" t="s">
        <v>43</v>
      </c>
      <c r="B38" s="8"/>
      <c r="C38" s="8"/>
      <c r="D38" s="8">
        <v>1607</v>
      </c>
      <c r="E38" s="8">
        <v>101</v>
      </c>
      <c r="F38" s="8">
        <v>192</v>
      </c>
      <c r="G38" s="8">
        <v>199</v>
      </c>
      <c r="H38" s="8">
        <f>SUM(D38:G38)</f>
        <v>2099</v>
      </c>
    </row>
  </sheetData>
  <mergeCells count="1">
    <mergeCell ref="A16:H16"/>
  </mergeCells>
  <pageMargins left="0.74803149606299213" right="0.74803149606299213" top="0.98425196850393704" bottom="0.98425196850393704" header="0.51181102362204722" footer="0.51181102362204722"/>
  <pageSetup paperSize="9" scale="74" fitToHeight="4" orientation="landscape" r:id="rId1"/>
  <headerFooter alignWithMargins="0">
    <oddFooter>&amp;R&amp;P</oddFooter>
  </headerFooter>
  <ignoredErrors>
    <ignoredError sqref="H24 H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B5718-396D-427B-B3D7-36F5DCEC1751}">
  <sheetPr>
    <pageSetUpPr fitToPage="1"/>
  </sheetPr>
  <dimension ref="A1:J37"/>
  <sheetViews>
    <sheetView zoomScaleNormal="100" workbookViewId="0">
      <selection activeCell="D36" sqref="D36"/>
    </sheetView>
  </sheetViews>
  <sheetFormatPr defaultColWidth="9.140625" defaultRowHeight="12.75" customHeight="1" x14ac:dyDescent="0.2"/>
  <cols>
    <col min="1" max="1" width="10" customWidth="1"/>
    <col min="2" max="2" width="16" customWidth="1"/>
    <col min="3" max="3" width="9.42578125" customWidth="1"/>
    <col min="4" max="4" width="44.7109375" customWidth="1"/>
    <col min="5" max="5" width="18.7109375" customWidth="1"/>
    <col min="6" max="7" width="11.28515625" customWidth="1"/>
    <col min="8" max="8" width="18.85546875" customWidth="1"/>
    <col min="9" max="10" width="15.85546875" customWidth="1"/>
  </cols>
  <sheetData>
    <row r="1" spans="1:10" ht="12.75" customHeight="1" x14ac:dyDescent="0.2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ht="12.75" customHeight="1" x14ac:dyDescent="0.2">
      <c r="A3" s="21" t="s">
        <v>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2.75" customHeight="1" x14ac:dyDescent="0.2">
      <c r="A4" s="1" t="s">
        <v>26</v>
      </c>
      <c r="B4" s="1" t="s">
        <v>7</v>
      </c>
      <c r="C4" s="1" t="s">
        <v>9</v>
      </c>
      <c r="D4" s="1" t="s">
        <v>5</v>
      </c>
      <c r="E4" s="1" t="s">
        <v>34</v>
      </c>
      <c r="F4" s="2" t="s">
        <v>29</v>
      </c>
      <c r="G4" s="2" t="s">
        <v>30</v>
      </c>
      <c r="H4" s="2" t="s">
        <v>32</v>
      </c>
      <c r="I4" s="2" t="s">
        <v>31</v>
      </c>
      <c r="J4" s="2" t="s">
        <v>33</v>
      </c>
    </row>
    <row r="5" spans="1:10" ht="12.75" customHeight="1" x14ac:dyDescent="0.2">
      <c r="A5" s="4"/>
      <c r="B5" s="4"/>
      <c r="C5" s="4"/>
      <c r="D5" s="5" t="s">
        <v>11</v>
      </c>
      <c r="E5" s="5"/>
      <c r="F5" s="4">
        <v>8917756.9499999993</v>
      </c>
      <c r="G5" s="4">
        <v>582462.41</v>
      </c>
      <c r="H5" s="4">
        <f>'[1]Income &amp; Expenditure'!$D$10+'[1]Income &amp; Expenditure'!$D$12</f>
        <v>802559.82</v>
      </c>
      <c r="I5" s="4">
        <f>'[2]Income &amp; Expenditure'!$D$10</f>
        <v>978115.32</v>
      </c>
      <c r="J5" s="4">
        <f>SUM(E5:I5)</f>
        <v>11280894.5</v>
      </c>
    </row>
    <row r="6" spans="1:10" ht="12.75" customHeight="1" x14ac:dyDescent="0.2">
      <c r="A6" s="4"/>
      <c r="B6" s="4"/>
      <c r="C6" s="4"/>
      <c r="D6" s="5" t="s">
        <v>15</v>
      </c>
      <c r="E6" s="5"/>
      <c r="F6" s="4">
        <v>36096</v>
      </c>
      <c r="G6" s="4">
        <v>2688</v>
      </c>
      <c r="H6" s="4">
        <f>'[1]Income &amp; Expenditure'!$D$14</f>
        <v>2585</v>
      </c>
      <c r="I6" s="4">
        <f>'[2]Income &amp; Expenditure'!$D$12</f>
        <v>5376</v>
      </c>
      <c r="J6" s="4">
        <f t="shared" ref="J6:J12" si="0">SUM(E6:I6)</f>
        <v>46745</v>
      </c>
    </row>
    <row r="7" spans="1:10" ht="12.75" customHeight="1" x14ac:dyDescent="0.2">
      <c r="A7" s="4"/>
      <c r="B7" s="4"/>
      <c r="C7" s="4"/>
      <c r="D7" s="5" t="s">
        <v>36</v>
      </c>
      <c r="E7" s="5"/>
      <c r="F7" s="4">
        <v>367675</v>
      </c>
      <c r="G7" s="4">
        <v>84735</v>
      </c>
      <c r="H7" s="4">
        <f>'[1]Income &amp; Expenditure'!$D$16</f>
        <v>32280</v>
      </c>
      <c r="I7" s="4">
        <f>'[2]Income &amp; Expenditure'!$D$14</f>
        <v>103565</v>
      </c>
      <c r="J7" s="4">
        <f t="shared" si="0"/>
        <v>588255</v>
      </c>
    </row>
    <row r="8" spans="1:10" ht="12.75" customHeight="1" x14ac:dyDescent="0.2">
      <c r="A8" s="4"/>
      <c r="B8" s="4"/>
      <c r="C8" s="4"/>
      <c r="D8" s="5" t="s">
        <v>38</v>
      </c>
      <c r="E8" s="5"/>
      <c r="F8" s="4"/>
      <c r="G8" s="4">
        <v>23234</v>
      </c>
      <c r="H8" s="4">
        <f>'[1]Income &amp; Expenditure'!$D$19</f>
        <v>48375</v>
      </c>
      <c r="I8" s="4">
        <f>'[2]Income &amp; Expenditure'!$D$17</f>
        <v>34300</v>
      </c>
      <c r="J8" s="4">
        <f t="shared" si="0"/>
        <v>105909</v>
      </c>
    </row>
    <row r="9" spans="1:10" ht="12.75" customHeight="1" x14ac:dyDescent="0.2">
      <c r="A9" s="4"/>
      <c r="B9" s="4"/>
      <c r="C9" s="4"/>
      <c r="D9" s="5" t="s">
        <v>22</v>
      </c>
      <c r="E9" s="5"/>
      <c r="F9" s="4">
        <v>237000</v>
      </c>
      <c r="G9" s="4"/>
      <c r="H9" s="4"/>
      <c r="I9" s="4"/>
      <c r="J9" s="4">
        <f t="shared" si="0"/>
        <v>237000</v>
      </c>
    </row>
    <row r="10" spans="1:10" ht="12.75" customHeight="1" x14ac:dyDescent="0.2">
      <c r="A10" s="4"/>
      <c r="B10" s="4"/>
      <c r="C10" s="4"/>
      <c r="D10" s="5" t="s">
        <v>37</v>
      </c>
      <c r="E10" s="5"/>
      <c r="F10" s="4">
        <v>149766</v>
      </c>
      <c r="G10" s="4">
        <v>76433.8</v>
      </c>
      <c r="H10" s="4">
        <f>'[1]Income &amp; Expenditure'!$D$21</f>
        <v>17819</v>
      </c>
      <c r="I10" s="4">
        <f>'[2]Income &amp; Expenditure'!$D$21</f>
        <v>84767.799999999988</v>
      </c>
      <c r="J10" s="4">
        <f t="shared" si="0"/>
        <v>328786.59999999998</v>
      </c>
    </row>
    <row r="11" spans="1:10" ht="12.75" customHeight="1" x14ac:dyDescent="0.2">
      <c r="A11" s="4"/>
      <c r="B11" s="4"/>
      <c r="C11" s="4"/>
      <c r="D11" s="5" t="s">
        <v>27</v>
      </c>
      <c r="E11" s="5"/>
      <c r="F11" s="4">
        <v>625445</v>
      </c>
      <c r="G11" s="4">
        <v>9120</v>
      </c>
      <c r="H11" s="4">
        <f>'[1]Income &amp; Expenditure'!$D$23</f>
        <v>9500</v>
      </c>
      <c r="I11" s="4">
        <f>'[2]Income &amp; Expenditure'!$D$25</f>
        <v>38419.599999999999</v>
      </c>
      <c r="J11" s="4">
        <f t="shared" si="0"/>
        <v>682484.6</v>
      </c>
    </row>
    <row r="12" spans="1:10" ht="12.75" customHeight="1" x14ac:dyDescent="0.2">
      <c r="A12" s="4"/>
      <c r="B12" s="4"/>
      <c r="C12" s="4"/>
      <c r="D12" s="3" t="s">
        <v>35</v>
      </c>
      <c r="E12" s="5">
        <f>F30+G30+H30+I30</f>
        <v>106341</v>
      </c>
      <c r="F12" s="4"/>
      <c r="G12" s="4"/>
      <c r="H12" s="4"/>
      <c r="I12" s="4"/>
      <c r="J12" s="4">
        <f t="shared" si="0"/>
        <v>106341</v>
      </c>
    </row>
    <row r="13" spans="1:10" ht="12.75" customHeight="1" x14ac:dyDescent="0.2">
      <c r="A13" s="20" t="s">
        <v>18</v>
      </c>
      <c r="B13" s="20"/>
      <c r="C13" s="20"/>
      <c r="D13" s="20" t="e">
        <f>D5+D6+D7+D9+D10+D11</f>
        <v>#VALUE!</v>
      </c>
      <c r="E13" s="8">
        <f>SUM(E5:E12)</f>
        <v>106341</v>
      </c>
      <c r="F13" s="8">
        <f t="shared" ref="F13:J13" si="1">SUM(F5:F12)</f>
        <v>10333738.949999999</v>
      </c>
      <c r="G13" s="8">
        <f t="shared" si="1"/>
        <v>778673.21000000008</v>
      </c>
      <c r="H13" s="8">
        <f t="shared" si="1"/>
        <v>913118.82</v>
      </c>
      <c r="I13" s="8">
        <f t="shared" si="1"/>
        <v>1244543.72</v>
      </c>
      <c r="J13" s="8">
        <f t="shared" si="1"/>
        <v>13376415.699999999</v>
      </c>
    </row>
    <row r="14" spans="1:10" ht="12.75" customHeight="1" x14ac:dyDescent="0.2">
      <c r="F14" s="10"/>
    </row>
    <row r="15" spans="1:10" ht="12.75" customHeight="1" x14ac:dyDescent="0.2">
      <c r="A15" s="21" t="s">
        <v>23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12.75" customHeight="1" x14ac:dyDescent="0.2">
      <c r="A16" s="1" t="s">
        <v>26</v>
      </c>
      <c r="B16" s="1" t="s">
        <v>7</v>
      </c>
      <c r="C16" s="1" t="s">
        <v>9</v>
      </c>
      <c r="D16" s="1" t="s">
        <v>5</v>
      </c>
      <c r="E16" s="1"/>
      <c r="F16" s="2" t="s">
        <v>3</v>
      </c>
      <c r="G16" s="2"/>
      <c r="H16" s="2"/>
      <c r="I16" s="2"/>
      <c r="J16" s="2"/>
    </row>
    <row r="17" spans="1:10" ht="12.75" customHeight="1" x14ac:dyDescent="0.2">
      <c r="A17" s="4"/>
      <c r="B17" s="4"/>
      <c r="C17" s="4"/>
      <c r="D17" s="5" t="s">
        <v>2</v>
      </c>
      <c r="E17" s="5"/>
      <c r="F17" s="4">
        <v>5860124.7192000002</v>
      </c>
      <c r="G17" s="4">
        <f>'[3]Income &amp; Expenditure'!$D$33</f>
        <v>373620.90730000002</v>
      </c>
      <c r="H17" s="4">
        <f>'[1]Income &amp; Expenditure'!$D$32</f>
        <v>485251.28860000003</v>
      </c>
      <c r="I17" s="4">
        <f>'[2]Income &amp; Expenditure'!$D$34</f>
        <v>545802.18420000002</v>
      </c>
      <c r="J17" s="4">
        <f>SUM(F17:I17)</f>
        <v>7264799.0992999999</v>
      </c>
    </row>
    <row r="18" spans="1:10" ht="12.75" customHeight="1" x14ac:dyDescent="0.2">
      <c r="A18" s="4"/>
      <c r="B18" s="4"/>
      <c r="C18" s="4"/>
      <c r="D18" s="5" t="s">
        <v>16</v>
      </c>
      <c r="E18" s="5"/>
      <c r="F18" s="4">
        <v>1015357.9717999999</v>
      </c>
      <c r="G18" s="4">
        <f>'[3]Income &amp; Expenditure'!$D$38</f>
        <v>176175.3547</v>
      </c>
      <c r="H18" s="4">
        <f>'[1]Income &amp; Expenditure'!$D$37</f>
        <v>194278.31349999999</v>
      </c>
      <c r="I18" s="4">
        <f>'[2]Income &amp; Expenditure'!$D$39</f>
        <v>235960.9614</v>
      </c>
      <c r="J18" s="4">
        <f t="shared" ref="J18:J22" si="2">SUM(F18:I18)</f>
        <v>1621772.6013999998</v>
      </c>
    </row>
    <row r="19" spans="1:10" ht="12.75" customHeight="1" x14ac:dyDescent="0.2">
      <c r="A19" s="4"/>
      <c r="B19" s="4"/>
      <c r="C19" s="4"/>
      <c r="D19" s="5" t="s">
        <v>14</v>
      </c>
      <c r="E19" s="5"/>
      <c r="F19" s="4">
        <v>200391.73149999999</v>
      </c>
      <c r="G19" s="4">
        <f>'[3]Income &amp; Expenditure'!$D$43</f>
        <v>34533.251900000003</v>
      </c>
      <c r="H19" s="4">
        <f>'[1]Income &amp; Expenditure'!$D$42</f>
        <v>37874.746500000001</v>
      </c>
      <c r="I19" s="4">
        <f>'[2]Income &amp; Expenditure'!$D$44</f>
        <v>64071.471799999999</v>
      </c>
      <c r="J19" s="4">
        <f t="shared" si="2"/>
        <v>336871.20169999998</v>
      </c>
    </row>
    <row r="20" spans="1:10" ht="12.75" customHeight="1" x14ac:dyDescent="0.2">
      <c r="A20" s="4"/>
      <c r="B20" s="4"/>
      <c r="C20" s="4"/>
      <c r="D20" s="5" t="s">
        <v>12</v>
      </c>
      <c r="E20" s="5"/>
      <c r="F20" s="4">
        <v>551343.3835</v>
      </c>
      <c r="G20" s="4">
        <f>'[3]Income &amp; Expenditure'!$D$48</f>
        <v>22020.534999999996</v>
      </c>
      <c r="H20" s="4">
        <f>'[1]Income &amp; Expenditure'!$D$47</f>
        <v>39329.797599999998</v>
      </c>
      <c r="I20" s="4">
        <f>'[2]Income &amp; Expenditure'!$D$49</f>
        <v>76842.3217</v>
      </c>
      <c r="J20" s="4">
        <f t="shared" si="2"/>
        <v>689536.03780000005</v>
      </c>
    </row>
    <row r="21" spans="1:10" ht="12.75" customHeight="1" x14ac:dyDescent="0.2">
      <c r="A21" s="4"/>
      <c r="B21" s="4"/>
      <c r="C21" s="4"/>
      <c r="D21" s="5" t="s">
        <v>25</v>
      </c>
      <c r="E21" s="5"/>
      <c r="F21" s="4">
        <v>202274.7493</v>
      </c>
      <c r="G21" s="4">
        <f>'[3]Income &amp; Expenditure'!$D$53</f>
        <v>11496.122799999999</v>
      </c>
      <c r="H21" s="4">
        <f>'[1]Income &amp; Expenditure'!$D$52</f>
        <v>5890.5636999999997</v>
      </c>
      <c r="I21" s="4">
        <f>'[2]Income &amp; Expenditure'!$D$54</f>
        <v>16014.0322</v>
      </c>
      <c r="J21" s="4">
        <f t="shared" si="2"/>
        <v>235675.46799999999</v>
      </c>
    </row>
    <row r="22" spans="1:10" ht="12.75" customHeight="1" x14ac:dyDescent="0.2">
      <c r="A22" s="4"/>
      <c r="B22" s="4"/>
      <c r="C22" s="4"/>
      <c r="D22" s="5" t="s">
        <v>10</v>
      </c>
      <c r="E22" s="5"/>
      <c r="F22" s="4">
        <v>80017.4035</v>
      </c>
      <c r="G22" s="4">
        <f>'[3]Income &amp; Expenditure'!$D$58</f>
        <v>4041.3371999999999</v>
      </c>
      <c r="H22" s="4">
        <f>'[1]Income &amp; Expenditure'!$D$57</f>
        <v>23137.044000000002</v>
      </c>
      <c r="I22" s="4">
        <f>'[2]Income &amp; Expenditure'!$D$59</f>
        <v>19458.199000000001</v>
      </c>
      <c r="J22" s="4">
        <f t="shared" si="2"/>
        <v>126653.98369999998</v>
      </c>
    </row>
    <row r="23" spans="1:10" ht="12.75" customHeight="1" x14ac:dyDescent="0.2">
      <c r="A23" s="6"/>
      <c r="B23" s="6"/>
      <c r="C23" s="6"/>
      <c r="D23" s="6" t="s">
        <v>1</v>
      </c>
      <c r="E23" s="6"/>
      <c r="F23" s="6">
        <f>SUM(F17:F22)</f>
        <v>7909509.9588000001</v>
      </c>
      <c r="G23" s="6">
        <f>SUM(G17:G22)</f>
        <v>621887.50890000002</v>
      </c>
      <c r="H23" s="6">
        <f t="shared" ref="H23:J23" si="3">SUM(H17:H22)</f>
        <v>785761.75390000013</v>
      </c>
      <c r="I23" s="6">
        <f t="shared" si="3"/>
        <v>958149.17030000011</v>
      </c>
      <c r="J23" s="6">
        <f t="shared" si="3"/>
        <v>10275308.391900001</v>
      </c>
    </row>
    <row r="24" spans="1:10" ht="12.75" customHeight="1" x14ac:dyDescent="0.2">
      <c r="A24" s="4"/>
      <c r="B24" s="4"/>
      <c r="C24" s="4"/>
      <c r="D24" s="5" t="s">
        <v>17</v>
      </c>
      <c r="E24" s="5"/>
      <c r="F24" s="4">
        <v>20000</v>
      </c>
      <c r="G24" s="4">
        <v>0</v>
      </c>
      <c r="H24" s="4">
        <v>0</v>
      </c>
      <c r="I24" s="4">
        <v>0</v>
      </c>
      <c r="J24" s="4">
        <f>SUM(F24:I24)</f>
        <v>20000</v>
      </c>
    </row>
    <row r="25" spans="1:10" ht="12.75" customHeight="1" x14ac:dyDescent="0.2">
      <c r="A25" s="4"/>
      <c r="B25" s="4"/>
      <c r="C25" s="4"/>
      <c r="D25" s="5" t="s">
        <v>19</v>
      </c>
      <c r="E25" s="5"/>
      <c r="F25" s="4">
        <v>28154.052000000003</v>
      </c>
      <c r="G25" s="4">
        <f>'[3]Income &amp; Expenditure'!$D$62</f>
        <v>4510.93</v>
      </c>
      <c r="H25" s="4">
        <f>'[1]Income &amp; Expenditure'!$D$61</f>
        <v>4249.99</v>
      </c>
      <c r="I25" s="4">
        <f>'[2]Income &amp; Expenditure'!$D$63</f>
        <v>6000</v>
      </c>
      <c r="J25" s="4">
        <f t="shared" ref="J25:J30" si="4">SUM(F25:I25)</f>
        <v>42914.972000000002</v>
      </c>
    </row>
    <row r="26" spans="1:10" ht="12.75" customHeight="1" x14ac:dyDescent="0.2">
      <c r="A26" s="4"/>
      <c r="B26" s="4"/>
      <c r="C26" s="4"/>
      <c r="D26" s="5" t="s">
        <v>20</v>
      </c>
      <c r="E26" s="5"/>
      <c r="F26" s="4">
        <v>511907.66000000003</v>
      </c>
      <c r="G26" s="4">
        <f>'[3]Income &amp; Expenditure'!$D$65+'[3]Income &amp; Expenditure'!$D$67+'[3]Income &amp; Expenditure'!$D$77+'[3]Income &amp; Expenditure'!$D$81+'[3]Income &amp; Expenditure'!$D$83</f>
        <v>71926.81</v>
      </c>
      <c r="H26" s="4">
        <f>'[1]Income &amp; Expenditure'!$D$63+'[1]Income &amp; Expenditure'!$D$71+'[1]Income &amp; Expenditure'!$D$75+'[1]Income &amp; Expenditure'!$D$81+'[1]Income &amp; Expenditure'!$D$83</f>
        <v>57657.369999999995</v>
      </c>
      <c r="I26" s="4">
        <f>'[2]Income &amp; Expenditure'!$D$65+'[2]Income &amp; Expenditure'!$D$69+'[2]Income &amp; Expenditure'!$D$78+'[2]Income &amp; Expenditure'!$D$82+'[2]Income &amp; Expenditure'!$D$84</f>
        <v>113603.26000000001</v>
      </c>
      <c r="J26" s="4">
        <f t="shared" si="4"/>
        <v>755095.1</v>
      </c>
    </row>
    <row r="27" spans="1:10" ht="25.5" customHeight="1" x14ac:dyDescent="0.2">
      <c r="A27" s="4"/>
      <c r="B27" s="4"/>
      <c r="C27" s="4"/>
      <c r="D27" s="5" t="s">
        <v>24</v>
      </c>
      <c r="E27" s="5"/>
      <c r="F27" s="4">
        <v>607677.97400000005</v>
      </c>
      <c r="G27" s="4">
        <f>'[3]Income &amp; Expenditure'!$D$86+'[3]Income &amp; Expenditure'!$D$79+'[3]Income &amp; Expenditure'!$D$108</f>
        <v>65793.63</v>
      </c>
      <c r="H27" s="4">
        <f>'[1]Income &amp; Expenditure'!$D$111</f>
        <v>49203.88</v>
      </c>
      <c r="I27" s="4">
        <f>'[2]Income &amp; Expenditure'!$D$108</f>
        <v>34320.794000000002</v>
      </c>
      <c r="J27" s="4">
        <f t="shared" si="4"/>
        <v>756996.27800000005</v>
      </c>
    </row>
    <row r="28" spans="1:10" ht="12.75" customHeight="1" x14ac:dyDescent="0.2">
      <c r="A28" s="4"/>
      <c r="B28" s="4"/>
      <c r="C28" s="4"/>
      <c r="D28" s="5" t="s">
        <v>6</v>
      </c>
      <c r="E28" s="5"/>
      <c r="F28" s="4">
        <v>519122.989</v>
      </c>
      <c r="G28" s="4">
        <f>'[3]Income &amp; Expenditure'!$D$120</f>
        <v>30691.450000000004</v>
      </c>
      <c r="H28" s="4">
        <f>'[1]Income &amp; Expenditure'!$D$77+'[1]Income &amp; Expenditure'!$D$88+'[1]Income &amp; Expenditure'!$D$115</f>
        <v>25787.63</v>
      </c>
      <c r="I28" s="4">
        <f>'[2]Income &amp; Expenditure'!$D$86+'[2]Income &amp; Expenditure'!$D$123</f>
        <v>57255.960000000006</v>
      </c>
      <c r="J28" s="4">
        <f t="shared" si="4"/>
        <v>632858.02899999998</v>
      </c>
    </row>
    <row r="29" spans="1:10" ht="12.75" customHeight="1" x14ac:dyDescent="0.2">
      <c r="A29" s="4"/>
      <c r="B29" s="4"/>
      <c r="C29" s="4"/>
      <c r="D29" s="5" t="s">
        <v>0</v>
      </c>
      <c r="E29" s="5"/>
      <c r="F29" s="4">
        <v>285259.29099999997</v>
      </c>
      <c r="G29" s="4">
        <f>'[3]Income &amp; Expenditure'!$D$126+'[3]Income &amp; Expenditure'!$D$128</f>
        <v>2064.19</v>
      </c>
      <c r="H29" s="4">
        <f>'[1]Income &amp; Expenditure'!$D$131</f>
        <v>38504.1</v>
      </c>
      <c r="I29" s="4">
        <f>'[2]Income &amp; Expenditure'!$D$130+'[2]Income &amp; Expenditure'!$D$132+'[2]Income &amp; Expenditure'!$D$80</f>
        <v>6219.29</v>
      </c>
      <c r="J29" s="4">
        <f t="shared" si="4"/>
        <v>332046.87099999993</v>
      </c>
    </row>
    <row r="30" spans="1:10" ht="12.75" customHeight="1" x14ac:dyDescent="0.2">
      <c r="A30" s="4"/>
      <c r="B30" s="4"/>
      <c r="C30" s="4"/>
      <c r="D30" s="3" t="s">
        <v>35</v>
      </c>
      <c r="E30" s="5"/>
      <c r="F30" s="4"/>
      <c r="G30" s="4">
        <f>'[3]Income &amp; Expenditure'!$D$130</f>
        <v>26211</v>
      </c>
      <c r="H30" s="4">
        <f>'[1]Income &amp; Expenditure'!$D$133</f>
        <v>36115</v>
      </c>
      <c r="I30" s="4">
        <f>'[2]Income &amp; Expenditure'!$D$134</f>
        <v>44015</v>
      </c>
      <c r="J30" s="4">
        <f t="shared" si="4"/>
        <v>106341</v>
      </c>
    </row>
    <row r="31" spans="1:10" ht="12.75" customHeight="1" x14ac:dyDescent="0.2">
      <c r="A31" s="20" t="s">
        <v>4</v>
      </c>
      <c r="B31" s="20"/>
      <c r="C31" s="20"/>
      <c r="D31" s="20" t="e">
        <f>D17+D18+D19+D20+D21+D22+D24+D25+D26+D27+D28+D29</f>
        <v>#VALUE!</v>
      </c>
      <c r="E31" s="8">
        <f t="shared" ref="E31:F31" si="5">E23+E24+E25+E26+E27+E28+E29+E30</f>
        <v>0</v>
      </c>
      <c r="F31" s="8">
        <f t="shared" si="5"/>
        <v>9881631.9247999992</v>
      </c>
      <c r="G31" s="8">
        <f>G23+G24+G25+G26+G27+G28+G29+G30</f>
        <v>823085.51889999991</v>
      </c>
      <c r="H31" s="8">
        <f t="shared" ref="H31:J31" si="6">H23+H24+H25+H26+H27+H28+H29+H30</f>
        <v>997279.7239000001</v>
      </c>
      <c r="I31" s="8">
        <f t="shared" si="6"/>
        <v>1219563.4743000001</v>
      </c>
      <c r="J31" s="8">
        <f t="shared" si="6"/>
        <v>12921560.641899999</v>
      </c>
    </row>
    <row r="33" spans="1:10" ht="12.75" customHeight="1" x14ac:dyDescent="0.2">
      <c r="A33" s="20" t="s">
        <v>21</v>
      </c>
      <c r="B33" s="20"/>
      <c r="C33" s="20"/>
      <c r="D33" s="20"/>
      <c r="E33" s="8">
        <f>E13-E31</f>
        <v>106341</v>
      </c>
      <c r="F33" s="8">
        <f>F13-F31</f>
        <v>452107.02520000003</v>
      </c>
      <c r="G33" s="8">
        <f t="shared" ref="G33:J33" si="7">G13-G31</f>
        <v>-44412.308899999829</v>
      </c>
      <c r="H33" s="8">
        <f t="shared" si="7"/>
        <v>-84160.90390000015</v>
      </c>
      <c r="I33" s="8">
        <f t="shared" si="7"/>
        <v>24980.245699999854</v>
      </c>
      <c r="J33" s="8">
        <f t="shared" si="7"/>
        <v>454855.05810000002</v>
      </c>
    </row>
    <row r="35" spans="1:10" ht="12.75" customHeight="1" x14ac:dyDescent="0.2">
      <c r="F35" s="10">
        <f>F33+G33+H33+I33</f>
        <v>348514.05809999991</v>
      </c>
    </row>
    <row r="36" spans="1:10" ht="12.75" customHeight="1" x14ac:dyDescent="0.2">
      <c r="E36" s="7" t="s">
        <v>41</v>
      </c>
      <c r="F36">
        <v>-29000</v>
      </c>
    </row>
    <row r="37" spans="1:10" ht="12.75" customHeight="1" x14ac:dyDescent="0.2">
      <c r="F37" s="10">
        <f>F35+F36</f>
        <v>319514.05809999991</v>
      </c>
    </row>
  </sheetData>
  <mergeCells count="6">
    <mergeCell ref="A33:D33"/>
    <mergeCell ref="A1:J1"/>
    <mergeCell ref="A3:J3"/>
    <mergeCell ref="A13:D13"/>
    <mergeCell ref="A15:J15"/>
    <mergeCell ref="A31:D31"/>
  </mergeCells>
  <pageMargins left="0.74803149606299213" right="0.74803149606299213" top="0.98425196850393704" bottom="0.98425196850393704" header="0.51181102362204722" footer="0.51181102362204722"/>
  <pageSetup paperSize="9" scale="70" fitToHeight="4" orientation="landscape" r:id="rId1"/>
  <headerFooter alignWithMargins="0">
    <oddHeader xml:space="preserve">&amp;R&amp;"Lato,Bold"&amp;7 Scenario: 21-22 Budget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Income &amp; Expenditure</vt:lpstr>
      <vt:lpstr>RHS before adj</vt:lpstr>
      <vt:lpstr>'Income &amp; Expenditure'!Print_Titles</vt:lpstr>
      <vt:lpstr>'RHS before adj'!Print_Titles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Miss S Laverick</dc:creator>
  <cp:keywords/>
  <dc:description/>
  <cp:lastModifiedBy>Miss S Laverick</cp:lastModifiedBy>
  <cp:lastPrinted>2021-12-14T18:10:31Z</cp:lastPrinted>
  <dcterms:created xsi:type="dcterms:W3CDTF">2021-07-04T13:18:29Z</dcterms:created>
  <dcterms:modified xsi:type="dcterms:W3CDTF">2021-12-17T09:05:30Z</dcterms:modified>
  <cp:category/>
  <cp:contentStatus/>
</cp:coreProperties>
</file>